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P:\Templates\"/>
    </mc:Choice>
  </mc:AlternateContent>
  <xr:revisionPtr revIDLastSave="0" documentId="8_{54F512D8-2FF2-4E5C-A937-28486A3F351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Pay all in week #7" sheetId="1" r:id="rId1"/>
    <sheet name="Spread Pay over 8 week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38" i="2" l="1"/>
  <c r="N38" i="2"/>
  <c r="N39" i="2" s="1"/>
  <c r="K36" i="2"/>
  <c r="J36" i="2"/>
  <c r="I36" i="2"/>
  <c r="H36" i="2"/>
  <c r="G36" i="2"/>
  <c r="F36" i="2"/>
  <c r="E36" i="2"/>
  <c r="D36" i="2"/>
  <c r="N36" i="2" s="1"/>
  <c r="N37" i="2" s="1"/>
  <c r="C36" i="2"/>
  <c r="M35" i="2"/>
  <c r="M34" i="2"/>
  <c r="M33" i="2"/>
  <c r="M36" i="2" s="1"/>
  <c r="E30" i="2"/>
  <c r="M29" i="2"/>
  <c r="M28" i="2"/>
  <c r="H24" i="2"/>
  <c r="C24" i="2"/>
  <c r="K23" i="2"/>
  <c r="H23" i="2"/>
  <c r="G23" i="2"/>
  <c r="F23" i="2"/>
  <c r="D23" i="2"/>
  <c r="C23" i="2"/>
  <c r="J23" i="2" s="1"/>
  <c r="K22" i="2"/>
  <c r="J22" i="2"/>
  <c r="I22" i="2"/>
  <c r="H22" i="2"/>
  <c r="C22" i="2"/>
  <c r="G22" i="2" s="1"/>
  <c r="K21" i="2"/>
  <c r="J21" i="2"/>
  <c r="I21" i="2"/>
  <c r="H21" i="2"/>
  <c r="G21" i="2"/>
  <c r="F21" i="2"/>
  <c r="D21" i="2"/>
  <c r="M21" i="2" s="1"/>
  <c r="C21" i="2"/>
  <c r="C20" i="2"/>
  <c r="K19" i="2"/>
  <c r="H19" i="2"/>
  <c r="G19" i="2"/>
  <c r="F19" i="2"/>
  <c r="D19" i="2"/>
  <c r="C19" i="2"/>
  <c r="J19" i="2" s="1"/>
  <c r="K18" i="2"/>
  <c r="J18" i="2"/>
  <c r="I18" i="2"/>
  <c r="H18" i="2"/>
  <c r="C18" i="2"/>
  <c r="G18" i="2" s="1"/>
  <c r="K17" i="2"/>
  <c r="J17" i="2"/>
  <c r="I17" i="2"/>
  <c r="H17" i="2"/>
  <c r="G17" i="2"/>
  <c r="F17" i="2"/>
  <c r="D17" i="2"/>
  <c r="M17" i="2" s="1"/>
  <c r="C17" i="2"/>
  <c r="C25" i="2" s="1"/>
  <c r="D15" i="2"/>
  <c r="F15" i="2" s="1"/>
  <c r="G15" i="2" s="1"/>
  <c r="H15" i="2" s="1"/>
  <c r="I15" i="2" s="1"/>
  <c r="J15" i="2" s="1"/>
  <c r="K15" i="2" s="1"/>
  <c r="C14" i="2"/>
  <c r="J10" i="2" s="1"/>
  <c r="C11" i="2"/>
  <c r="C10" i="2"/>
  <c r="C12" i="2" s="1"/>
  <c r="C6" i="2"/>
  <c r="C7" i="2" s="1"/>
  <c r="C16" i="2" l="1"/>
  <c r="D16" i="2" s="1"/>
  <c r="F16" i="2" s="1"/>
  <c r="G16" i="2" s="1"/>
  <c r="H16" i="2" s="1"/>
  <c r="I16" i="2" s="1"/>
  <c r="J16" i="2" s="1"/>
  <c r="K16" i="2" s="1"/>
  <c r="C27" i="2"/>
  <c r="C30" i="2"/>
  <c r="H25" i="2"/>
  <c r="J25" i="2"/>
  <c r="K25" i="2"/>
  <c r="M20" i="2"/>
  <c r="F11" i="2"/>
  <c r="O36" i="2"/>
  <c r="D20" i="2"/>
  <c r="D24" i="2"/>
  <c r="M24" i="2" s="1"/>
  <c r="F20" i="2"/>
  <c r="F24" i="2"/>
  <c r="G20" i="2"/>
  <c r="G25" i="2" s="1"/>
  <c r="G24" i="2"/>
  <c r="H20" i="2"/>
  <c r="I20" i="2"/>
  <c r="I24" i="2"/>
  <c r="J20" i="2"/>
  <c r="K14" i="2" s="1"/>
  <c r="J11" i="2" s="1"/>
  <c r="J12" i="2" s="1"/>
  <c r="J24" i="2"/>
  <c r="K24" i="2" s="1"/>
  <c r="D18" i="2"/>
  <c r="D25" i="2" s="1"/>
  <c r="K20" i="2"/>
  <c r="D22" i="2"/>
  <c r="F18" i="2"/>
  <c r="F25" i="2" s="1"/>
  <c r="I19" i="2"/>
  <c r="M19" i="2" s="1"/>
  <c r="F22" i="2"/>
  <c r="M22" i="2" s="1"/>
  <c r="I23" i="2"/>
  <c r="M23" i="2" s="1"/>
  <c r="K27" i="1"/>
  <c r="I27" i="1"/>
  <c r="H27" i="1"/>
  <c r="F27" i="1"/>
  <c r="D27" i="1"/>
  <c r="C27" i="1"/>
  <c r="J27" i="1"/>
  <c r="J24" i="1"/>
  <c r="G24" i="1"/>
  <c r="C11" i="1"/>
  <c r="C10" i="1"/>
  <c r="H15" i="1"/>
  <c r="I15" i="1" s="1"/>
  <c r="J15" i="1" s="1"/>
  <c r="K15" i="1" s="1"/>
  <c r="G15" i="1"/>
  <c r="F15" i="1"/>
  <c r="D15" i="1"/>
  <c r="C6" i="1"/>
  <c r="C16" i="1" s="1"/>
  <c r="F30" i="2" l="1"/>
  <c r="F27" i="2"/>
  <c r="D27" i="2"/>
  <c r="D30" i="2"/>
  <c r="G27" i="2"/>
  <c r="J27" i="2"/>
  <c r="J30" i="2" s="1"/>
  <c r="H27" i="2"/>
  <c r="H30" i="2" s="1"/>
  <c r="M18" i="2"/>
  <c r="I25" i="2"/>
  <c r="M25" i="2" s="1"/>
  <c r="K27" i="2"/>
  <c r="K30" i="2" s="1"/>
  <c r="C7" i="1"/>
  <c r="G30" i="2" l="1"/>
  <c r="I27" i="2"/>
  <c r="M27" i="2" s="1"/>
  <c r="M30" i="2" s="1"/>
  <c r="K25" i="1"/>
  <c r="K30" i="1" s="1"/>
  <c r="F10" i="2" l="1"/>
  <c r="I30" i="2"/>
  <c r="N30" i="2" s="1"/>
  <c r="N31" i="2" s="1"/>
  <c r="O38" i="1"/>
  <c r="N38" i="1"/>
  <c r="N39" i="1" s="1"/>
  <c r="C14" i="1"/>
  <c r="J10" i="1" s="1"/>
  <c r="C12" i="1"/>
  <c r="J23" i="1"/>
  <c r="J19" i="1"/>
  <c r="J18" i="1"/>
  <c r="J21" i="1"/>
  <c r="O30" i="2" l="1"/>
  <c r="F12" i="2"/>
  <c r="G10" i="2" s="1"/>
  <c r="D25" i="1"/>
  <c r="D30" i="1" s="1"/>
  <c r="E30" i="1"/>
  <c r="F25" i="1"/>
  <c r="F30" i="1" s="1"/>
  <c r="G25" i="1"/>
  <c r="G27" i="1" s="1"/>
  <c r="H25" i="1"/>
  <c r="H30" i="1" s="1"/>
  <c r="I25" i="1"/>
  <c r="I30" i="1" s="1"/>
  <c r="C25" i="1"/>
  <c r="C30" i="1" s="1"/>
  <c r="C36" i="1"/>
  <c r="D36" i="1"/>
  <c r="E36" i="1"/>
  <c r="F36" i="1"/>
  <c r="G36" i="1"/>
  <c r="H36" i="1"/>
  <c r="I36" i="1"/>
  <c r="J36" i="1"/>
  <c r="K36" i="1"/>
  <c r="M23" i="1"/>
  <c r="J22" i="1"/>
  <c r="M22" i="1" s="1"/>
  <c r="M21" i="1"/>
  <c r="J20" i="1"/>
  <c r="M19" i="1"/>
  <c r="J17" i="1"/>
  <c r="J25" i="1" s="1"/>
  <c r="M35" i="1"/>
  <c r="M34" i="1"/>
  <c r="M33" i="1"/>
  <c r="M28" i="1"/>
  <c r="M29" i="1"/>
  <c r="M18" i="1"/>
  <c r="M20" i="1"/>
  <c r="M24" i="1"/>
  <c r="D16" i="1"/>
  <c r="F16" i="1" s="1"/>
  <c r="G16" i="1" s="1"/>
  <c r="H16" i="1" s="1"/>
  <c r="I16" i="1" s="1"/>
  <c r="J16" i="1" s="1"/>
  <c r="K16" i="1" s="1"/>
  <c r="G12" i="2" l="1"/>
  <c r="G11" i="2"/>
  <c r="M27" i="1"/>
  <c r="M17" i="1"/>
  <c r="K14" i="1"/>
  <c r="J11" i="1" s="1"/>
  <c r="J12" i="1" s="1"/>
  <c r="G30" i="1"/>
  <c r="M25" i="1"/>
  <c r="J30" i="1"/>
  <c r="M36" i="1"/>
  <c r="F11" i="1" s="1"/>
  <c r="N36" i="1"/>
  <c r="M30" i="1" l="1"/>
  <c r="F10" i="1" s="1"/>
  <c r="F12" i="1" s="1"/>
  <c r="G12" i="1" s="1"/>
  <c r="N30" i="1"/>
  <c r="N31" i="1" s="1"/>
  <c r="O36" i="1"/>
  <c r="N37" i="1"/>
  <c r="O30" i="1" l="1"/>
  <c r="G11" i="1"/>
  <c r="G10" i="1"/>
</calcChain>
</file>

<file path=xl/sharedStrings.xml><?xml version="1.0" encoding="utf-8"?>
<sst xmlns="http://schemas.openxmlformats.org/spreadsheetml/2006/main" count="110" uniqueCount="53">
  <si>
    <t>Use of PPP Loan Proceeds</t>
  </si>
  <si>
    <t>PPP Loan Funded</t>
  </si>
  <si>
    <t>8 weeks</t>
  </si>
  <si>
    <t>Payroll Costs</t>
  </si>
  <si>
    <t>Other Costs</t>
  </si>
  <si>
    <t>Actual</t>
  </si>
  <si>
    <t>Wages</t>
  </si>
  <si>
    <t>Total PR Costs</t>
  </si>
  <si>
    <t>Interest on Debt</t>
  </si>
  <si>
    <t>Utilitites</t>
  </si>
  <si>
    <t>Total Other Costs</t>
  </si>
  <si>
    <t>2/15 8 FTE</t>
  </si>
  <si>
    <t>Total</t>
  </si>
  <si>
    <t>OM $60,000</t>
  </si>
  <si>
    <t>Clerical $20</t>
  </si>
  <si>
    <t>Chairside $18</t>
  </si>
  <si>
    <t>RDH $45</t>
  </si>
  <si>
    <t>Clerical $18</t>
  </si>
  <si>
    <t>Chairside $16</t>
  </si>
  <si>
    <t>RDH $43.50</t>
  </si>
  <si>
    <t>Office Manager $60,000 for 2 Months</t>
  </si>
  <si>
    <t>Clerical $20, 40 hours a week , for 8 weeks</t>
  </si>
  <si>
    <t>Clerical $18, 40 hours a week, for 8 weeks</t>
  </si>
  <si>
    <t>Chairside $18, 40 hours a week, for 8 weeks</t>
  </si>
  <si>
    <t>Chairside $16, 40 hours a week, for 8 weeks</t>
  </si>
  <si>
    <t>RDH $45, 40 hours a week, for 8 weeks</t>
  </si>
  <si>
    <t>RDH $43.50, 20 hours a week, for 8 weeks</t>
  </si>
  <si>
    <t>%</t>
  </si>
  <si>
    <t>FTE&gt;&gt;&gt;&gt;</t>
  </si>
  <si>
    <t xml:space="preserve">PPP Loan Approved for </t>
  </si>
  <si>
    <t>PPP Loan Approved ($100,000)</t>
  </si>
  <si>
    <t>Full Time Equilvalents</t>
  </si>
  <si>
    <t>&lt;GOAL</t>
  </si>
  <si>
    <t>Interest on Pre Exisiting Debt as of 02/15/20</t>
  </si>
  <si>
    <t>Rent on pre exisitng Leases as of 02/15/20</t>
  </si>
  <si>
    <t>Utilitites as of 02/15/20, G&amp;E, Tele &amp; Internet</t>
  </si>
  <si>
    <t xml:space="preserve"> 3% Match of the 8 week payroll</t>
  </si>
  <si>
    <t>Example - The Schiff Dental Practice</t>
  </si>
  <si>
    <t>&lt; PPP Loan Proceeds</t>
  </si>
  <si>
    <t>401(k) Match</t>
  </si>
  <si>
    <t>Week #&gt;</t>
  </si>
  <si>
    <t>Total PPP Loan</t>
  </si>
  <si>
    <t>Alloc 75% P/R Costs</t>
  </si>
  <si>
    <t>Alloc 25% Other Costs</t>
  </si>
  <si>
    <t>401 (k) Accrual ?</t>
  </si>
  <si>
    <t>No Retirement Accrual at this time ?</t>
  </si>
  <si>
    <t>Monthly Health Insurance</t>
  </si>
  <si>
    <t>PPP Loan Approved</t>
  </si>
  <si>
    <t>Doctor $7,692</t>
  </si>
  <si>
    <t>Dr ________ $100,000 / 52 weeks x 8 weeks</t>
  </si>
  <si>
    <t>Employee Health</t>
  </si>
  <si>
    <t>Rent / Mortgage Int</t>
  </si>
  <si>
    <t>? No Retirement Accrual at this time 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</si>
</sst>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(&quot;$&quot;* #,##0_);_(&quot;$&quot;* \(#,##0\);_(&quot;$&quot;* &quot;-&quot;_);_(@_)"/>
    <numFmt numFmtId="44" formatCode="_(&quot;$&quot;* #,##0.00_);_(&quot;$&quot;* \(#,##0.00\);_(&quot;$&quot;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rgb="FFFF0000"/>
      <name val="Times New Roman"/>
      <family val="1"/>
    </font>
    <font>
      <sz val="10"/>
      <color theme="1"/>
      <name val="Times New Roman"/>
      <family val="1"/>
    </font>
    <font>
      <sz val="12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3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42" fontId="2" fillId="0" borderId="4" xfId="1" applyNumberFormat="1" applyFont="1" applyBorder="1"/>
    <xf numFmtId="0" fontId="2" fillId="0" borderId="5" xfId="0" applyFont="1" applyBorder="1"/>
    <xf numFmtId="0" fontId="3" fillId="0" borderId="1" xfId="0" applyFont="1" applyBorder="1" applyAlignment="1">
      <alignment horizontal="center"/>
    </xf>
    <xf numFmtId="14" fontId="2" fillId="0" borderId="6" xfId="0" applyNumberFormat="1" applyFont="1" applyBorder="1"/>
    <xf numFmtId="0" fontId="2" fillId="0" borderId="7" xfId="0" applyFont="1" applyBorder="1"/>
    <xf numFmtId="42" fontId="2" fillId="0" borderId="2" xfId="1" applyNumberFormat="1" applyFont="1" applyBorder="1"/>
    <xf numFmtId="9" fontId="2" fillId="0" borderId="2" xfId="2" applyFont="1" applyBorder="1"/>
    <xf numFmtId="0" fontId="2" fillId="0" borderId="8" xfId="0" applyFont="1" applyBorder="1"/>
    <xf numFmtId="9" fontId="2" fillId="0" borderId="3" xfId="2" applyFont="1" applyBorder="1"/>
    <xf numFmtId="0" fontId="2" fillId="2" borderId="3" xfId="0" applyFont="1" applyFill="1" applyBorder="1" applyAlignment="1">
      <alignment horizontal="center"/>
    </xf>
    <xf numFmtId="0" fontId="2" fillId="2" borderId="3" xfId="0" applyFont="1" applyFill="1" applyBorder="1"/>
    <xf numFmtId="0" fontId="3" fillId="0" borderId="1" xfId="0" applyFont="1" applyBorder="1"/>
    <xf numFmtId="14" fontId="3" fillId="0" borderId="1" xfId="0" applyNumberFormat="1" applyFont="1" applyBorder="1" applyAlignment="1">
      <alignment horizontal="center"/>
    </xf>
    <xf numFmtId="0" fontId="2" fillId="0" borderId="1" xfId="0" applyFont="1" applyBorder="1"/>
    <xf numFmtId="42" fontId="2" fillId="0" borderId="1" xfId="1" applyNumberFormat="1" applyFont="1" applyBorder="1"/>
    <xf numFmtId="0" fontId="2" fillId="0" borderId="2" xfId="0" applyFont="1" applyBorder="1"/>
    <xf numFmtId="42" fontId="2" fillId="2" borderId="2" xfId="1" applyNumberFormat="1" applyFont="1" applyFill="1" applyBorder="1"/>
    <xf numFmtId="0" fontId="2" fillId="0" borderId="3" xfId="0" applyFont="1" applyBorder="1"/>
    <xf numFmtId="0" fontId="2" fillId="0" borderId="11" xfId="0" applyFont="1" applyBorder="1"/>
    <xf numFmtId="0" fontId="2" fillId="0" borderId="12" xfId="0" applyFont="1" applyBorder="1" applyAlignment="1">
      <alignment horizontal="center"/>
    </xf>
    <xf numFmtId="0" fontId="2" fillId="0" borderId="13" xfId="0" applyFont="1" applyBorder="1"/>
    <xf numFmtId="0" fontId="2" fillId="0" borderId="14" xfId="0" applyFont="1" applyBorder="1"/>
    <xf numFmtId="0" fontId="2" fillId="0" borderId="6" xfId="0" applyFont="1" applyBorder="1" applyAlignment="1">
      <alignment horizontal="center"/>
    </xf>
    <xf numFmtId="0" fontId="2" fillId="0" borderId="0" xfId="0" applyFont="1" applyBorder="1"/>
    <xf numFmtId="0" fontId="3" fillId="0" borderId="0" xfId="0" applyFont="1" applyBorder="1" applyAlignment="1">
      <alignment horizontal="center"/>
    </xf>
    <xf numFmtId="14" fontId="2" fillId="0" borderId="0" xfId="0" applyNumberFormat="1" applyFont="1" applyBorder="1"/>
    <xf numFmtId="14" fontId="2" fillId="0" borderId="6" xfId="0" applyNumberFormat="1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42" fontId="2" fillId="0" borderId="0" xfId="1" applyNumberFormat="1" applyFont="1" applyBorder="1"/>
    <xf numFmtId="9" fontId="2" fillId="0" borderId="0" xfId="2" applyFont="1" applyBorder="1"/>
    <xf numFmtId="44" fontId="2" fillId="0" borderId="0" xfId="1" applyFont="1" applyBorder="1"/>
    <xf numFmtId="0" fontId="6" fillId="0" borderId="6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0" xfId="0" applyFont="1" applyBorder="1"/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42" fontId="2" fillId="0" borderId="0" xfId="0" applyNumberFormat="1" applyFont="1" applyBorder="1"/>
    <xf numFmtId="0" fontId="2" fillId="0" borderId="8" xfId="0" applyFont="1" applyBorder="1" applyAlignment="1">
      <alignment horizontal="center"/>
    </xf>
    <xf numFmtId="0" fontId="2" fillId="0" borderId="17" xfId="0" applyFont="1" applyBorder="1"/>
    <xf numFmtId="9" fontId="2" fillId="0" borderId="17" xfId="2" applyFont="1" applyBorder="1"/>
    <xf numFmtId="0" fontId="2" fillId="0" borderId="18" xfId="0" applyFont="1" applyBorder="1"/>
    <xf numFmtId="0" fontId="3" fillId="0" borderId="1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/>
    <xf numFmtId="0" fontId="4" fillId="0" borderId="0" xfId="0" applyFont="1" applyAlignment="1">
      <alignment horizontal="center"/>
    </xf>
    <xf numFmtId="0" fontId="3" fillId="0" borderId="0" xfId="0" applyFont="1"/>
    <xf numFmtId="42" fontId="2" fillId="0" borderId="0" xfId="0" applyNumberFormat="1" applyFont="1"/>
    <xf numFmtId="0" fontId="3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42" fontId="2" fillId="0" borderId="0" xfId="1" applyNumberFormat="1" applyFont="1" applyBorder="1" applyAlignment="1">
      <alignment horizontal="center"/>
    </xf>
    <xf numFmtId="42" fontId="2" fillId="0" borderId="7" xfId="1" applyNumberFormat="1" applyFont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3" fillId="0" borderId="0" xfId="0" applyFont="1" applyAlignment="1">
      <alignment horizontal="center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276225</xdr:colOff>
      <xdr:row>0</xdr:row>
      <xdr:rowOff>43238</xdr:rowOff>
    </xdr:from>
    <xdr:to>
      <xdr:col>0</xdr:col>
      <xdr:colOff>1047750</xdr:colOff>
      <xdr:row>3</xdr:row>
      <xdr:rowOff>142875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C995031-FFFB-46B1-B222-DEDE60C127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6225" y="43238"/>
          <a:ext cx="771525" cy="69971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266700</xdr:colOff>
      <xdr:row>0</xdr:row>
      <xdr:rowOff>47625</xdr:rowOff>
    </xdr:from>
    <xdr:to>
      <xdr:col>0</xdr:col>
      <xdr:colOff>1038225</xdr:colOff>
      <xdr:row>3</xdr:row>
      <xdr:rowOff>147262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A014890-15C0-41AC-8E50-53CB90EA6E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0" y="47625"/>
          <a:ext cx="771525" cy="6997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39"/>
  <sheetViews>
    <sheetView tabSelected="1" workbookViewId="0">
      <selection activeCell="D10" sqref="D10"/>
    </sheetView>
  </sheetViews>
  <sheetFormatPr defaultRowHeight="15.75" x14ac:dyDescent="0.25"/>
  <cols>
    <col min="1" max="1" width="19" style="1" customWidth="1"/>
    <col min="2" max="2" width="1.85546875" style="2" customWidth="1"/>
    <col min="3" max="3" width="13" style="2" bestFit="1" customWidth="1"/>
    <col min="4" max="4" width="14.28515625" style="2" customWidth="1"/>
    <col min="5" max="5" width="4.85546875" style="2" customWidth="1"/>
    <col min="6" max="6" width="11" style="2" bestFit="1" customWidth="1"/>
    <col min="7" max="7" width="11.85546875" style="2" bestFit="1" customWidth="1"/>
    <col min="8" max="8" width="10.85546875" style="2" bestFit="1" customWidth="1"/>
    <col min="9" max="9" width="10.28515625" style="2" bestFit="1" customWidth="1"/>
    <col min="10" max="10" width="12.85546875" style="2" bestFit="1" customWidth="1"/>
    <col min="11" max="11" width="10.28515625" style="2" bestFit="1" customWidth="1"/>
    <col min="12" max="12" width="2" style="2" customWidth="1"/>
    <col min="13" max="14" width="12.85546875" style="2" bestFit="1" customWidth="1"/>
    <col min="15" max="15" width="11.28515625" style="2" customWidth="1"/>
    <col min="16" max="16" width="9.140625" style="2"/>
    <col min="17" max="17" width="11.28515625" style="2" customWidth="1"/>
    <col min="18" max="16384" width="9.140625" style="2"/>
  </cols>
  <sheetData>
    <row r="1" spans="1:17" x14ac:dyDescent="0.25">
      <c r="A1" s="22"/>
      <c r="B1" s="23"/>
      <c r="C1" s="23"/>
      <c r="D1" s="56" t="s">
        <v>0</v>
      </c>
      <c r="E1" s="56"/>
      <c r="F1" s="56"/>
      <c r="G1" s="56"/>
      <c r="H1" s="23"/>
      <c r="I1" s="23"/>
      <c r="J1" s="23"/>
      <c r="K1" s="23"/>
      <c r="L1" s="23"/>
      <c r="M1" s="23"/>
      <c r="N1" s="23"/>
      <c r="O1" s="23"/>
      <c r="P1" s="23"/>
      <c r="Q1" s="24"/>
    </row>
    <row r="2" spans="1:17" x14ac:dyDescent="0.25">
      <c r="A2" s="25"/>
      <c r="B2" s="26"/>
      <c r="C2" s="26"/>
      <c r="D2" s="57" t="s">
        <v>37</v>
      </c>
      <c r="E2" s="57"/>
      <c r="F2" s="57"/>
      <c r="G2" s="57"/>
      <c r="H2" s="26"/>
      <c r="I2" s="26"/>
      <c r="J2" s="26"/>
      <c r="K2" s="26"/>
      <c r="L2" s="26"/>
      <c r="M2" s="26"/>
      <c r="N2" s="26"/>
      <c r="O2" s="26"/>
      <c r="P2" s="26"/>
      <c r="Q2" s="7"/>
    </row>
    <row r="3" spans="1:17" x14ac:dyDescent="0.25">
      <c r="A3" s="25"/>
      <c r="B3" s="26"/>
      <c r="C3" s="26"/>
      <c r="D3" s="27"/>
      <c r="E3" s="27"/>
      <c r="F3" s="27"/>
      <c r="G3" s="27"/>
      <c r="H3" s="26"/>
      <c r="I3" s="26"/>
      <c r="J3" s="26"/>
      <c r="K3" s="26"/>
      <c r="L3" s="26"/>
      <c r="M3" s="26"/>
      <c r="N3" s="26"/>
      <c r="O3" s="26"/>
      <c r="P3" s="26"/>
      <c r="Q3" s="7"/>
    </row>
    <row r="4" spans="1:17" x14ac:dyDescent="0.25">
      <c r="A4" s="55"/>
      <c r="B4" s="26"/>
      <c r="C4" s="26"/>
      <c r="D4" s="53"/>
      <c r="E4" s="53"/>
      <c r="F4" s="53"/>
      <c r="G4" s="53"/>
      <c r="H4" s="26"/>
      <c r="I4" s="26"/>
      <c r="J4" s="26"/>
      <c r="K4" s="26"/>
      <c r="L4" s="26"/>
      <c r="M4" s="26"/>
      <c r="N4" s="26"/>
      <c r="O4" s="26"/>
      <c r="P4" s="26"/>
      <c r="Q4" s="7"/>
    </row>
    <row r="5" spans="1:17" x14ac:dyDescent="0.25">
      <c r="A5" s="47" t="s">
        <v>47</v>
      </c>
      <c r="B5" s="26"/>
      <c r="C5" s="28">
        <v>43944</v>
      </c>
      <c r="D5" s="26" t="s">
        <v>30</v>
      </c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7"/>
    </row>
    <row r="6" spans="1:17" x14ac:dyDescent="0.25">
      <c r="A6" s="25"/>
      <c r="B6" s="26"/>
      <c r="C6" s="28">
        <f>+C5+10</f>
        <v>43954</v>
      </c>
      <c r="D6" s="26" t="s">
        <v>1</v>
      </c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7"/>
    </row>
    <row r="7" spans="1:17" x14ac:dyDescent="0.25">
      <c r="A7" s="29"/>
      <c r="B7" s="26"/>
      <c r="C7" s="28">
        <f>+C6+55</f>
        <v>44009</v>
      </c>
      <c r="D7" s="26" t="s">
        <v>2</v>
      </c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7"/>
    </row>
    <row r="8" spans="1:17" ht="16.5" thickBot="1" x14ac:dyDescent="0.3">
      <c r="A8" s="25"/>
      <c r="B8" s="26"/>
      <c r="C8" s="28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7"/>
    </row>
    <row r="9" spans="1:17" ht="16.5" thickBot="1" x14ac:dyDescent="0.3">
      <c r="A9" s="25" t="s">
        <v>41</v>
      </c>
      <c r="B9" s="26"/>
      <c r="C9" s="3">
        <v>100000</v>
      </c>
      <c r="D9" s="4" t="s">
        <v>29</v>
      </c>
      <c r="E9" s="26"/>
      <c r="F9" s="5" t="s">
        <v>5</v>
      </c>
      <c r="G9" s="5" t="s">
        <v>27</v>
      </c>
      <c r="H9" s="26"/>
      <c r="I9" s="60" t="s">
        <v>31</v>
      </c>
      <c r="J9" s="61"/>
      <c r="K9" s="26"/>
      <c r="L9" s="26"/>
      <c r="M9" s="26"/>
      <c r="N9" s="26"/>
      <c r="O9" s="26"/>
      <c r="P9" s="26"/>
      <c r="Q9" s="7"/>
    </row>
    <row r="10" spans="1:17" x14ac:dyDescent="0.25">
      <c r="A10" s="30" t="s">
        <v>42</v>
      </c>
      <c r="B10" s="26"/>
      <c r="C10" s="31">
        <f>+C9*0.75</f>
        <v>75000</v>
      </c>
      <c r="D10" s="26" t="s">
        <v>3</v>
      </c>
      <c r="E10" s="26"/>
      <c r="F10" s="31">
        <f>M30</f>
        <v>75000.153846153844</v>
      </c>
      <c r="G10" s="32">
        <f>+F10/$F$12</f>
        <v>0.7500003846147929</v>
      </c>
      <c r="H10" s="26"/>
      <c r="I10" s="6">
        <v>43876</v>
      </c>
      <c r="J10" s="7">
        <f>+C14</f>
        <v>8</v>
      </c>
      <c r="K10" s="26"/>
      <c r="L10" s="26"/>
      <c r="M10" s="26"/>
      <c r="N10" s="26"/>
      <c r="O10" s="26"/>
      <c r="P10" s="26"/>
      <c r="Q10" s="7"/>
    </row>
    <row r="11" spans="1:17" ht="16.5" thickBot="1" x14ac:dyDescent="0.3">
      <c r="A11" s="30" t="s">
        <v>43</v>
      </c>
      <c r="B11" s="26"/>
      <c r="C11" s="31">
        <f>+C9*0.25</f>
        <v>25000</v>
      </c>
      <c r="D11" s="26" t="s">
        <v>4</v>
      </c>
      <c r="E11" s="26"/>
      <c r="F11" s="31">
        <f>M36</f>
        <v>25000</v>
      </c>
      <c r="G11" s="32">
        <f t="shared" ref="G11:G12" si="0">+F11/$F$12</f>
        <v>0.2499996153852071</v>
      </c>
      <c r="H11" s="26"/>
      <c r="I11" s="6">
        <v>44012</v>
      </c>
      <c r="J11" s="7">
        <f>+K14</f>
        <v>8</v>
      </c>
      <c r="K11" s="26"/>
      <c r="L11" s="26"/>
      <c r="M11" s="26"/>
      <c r="N11" s="26"/>
      <c r="O11" s="26"/>
      <c r="P11" s="26"/>
      <c r="Q11" s="7"/>
    </row>
    <row r="12" spans="1:17" ht="16.5" thickBot="1" x14ac:dyDescent="0.3">
      <c r="A12" s="25"/>
      <c r="B12" s="26"/>
      <c r="C12" s="8">
        <f>SUM(C10:C11)</f>
        <v>100000</v>
      </c>
      <c r="D12" s="26"/>
      <c r="E12" s="26"/>
      <c r="F12" s="8">
        <f>SUM(F10:F11)</f>
        <v>100000.15384615384</v>
      </c>
      <c r="G12" s="9">
        <f t="shared" si="0"/>
        <v>1</v>
      </c>
      <c r="H12" s="26"/>
      <c r="I12" s="10"/>
      <c r="J12" s="11">
        <f>+J10/J11</f>
        <v>1</v>
      </c>
      <c r="K12" s="26"/>
      <c r="L12" s="26"/>
      <c r="M12" s="26"/>
      <c r="N12" s="26"/>
      <c r="O12" s="26"/>
      <c r="P12" s="26"/>
      <c r="Q12" s="7"/>
    </row>
    <row r="13" spans="1:17" ht="17.25" thickTop="1" thickBot="1" x14ac:dyDescent="0.3">
      <c r="A13" s="25"/>
      <c r="B13" s="26"/>
      <c r="C13" s="33"/>
      <c r="D13" s="26"/>
      <c r="E13" s="26"/>
      <c r="F13" s="31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7"/>
    </row>
    <row r="14" spans="1:17" ht="16.5" thickBot="1" x14ac:dyDescent="0.3">
      <c r="A14" s="12" t="s">
        <v>11</v>
      </c>
      <c r="B14" s="26"/>
      <c r="C14" s="12">
        <f>1+1+1+1+1+1+1+1</f>
        <v>8</v>
      </c>
      <c r="D14" s="26"/>
      <c r="E14" s="26"/>
      <c r="F14" s="26"/>
      <c r="G14" s="26"/>
      <c r="H14" s="26"/>
      <c r="I14" s="26"/>
      <c r="J14" s="12" t="s">
        <v>28</v>
      </c>
      <c r="K14" s="13">
        <f>COUNT(J17:J24)</f>
        <v>8</v>
      </c>
      <c r="L14" s="26"/>
      <c r="M14" s="26"/>
      <c r="N14" s="26"/>
      <c r="O14" s="26"/>
      <c r="P14" s="26"/>
      <c r="Q14" s="7"/>
    </row>
    <row r="15" spans="1:17" x14ac:dyDescent="0.25">
      <c r="A15" s="34" t="s">
        <v>40</v>
      </c>
      <c r="B15" s="26"/>
      <c r="C15" s="35">
        <v>1</v>
      </c>
      <c r="D15" s="35">
        <f>+C15+1</f>
        <v>2</v>
      </c>
      <c r="E15" s="35"/>
      <c r="F15" s="35">
        <f>+D15+1</f>
        <v>3</v>
      </c>
      <c r="G15" s="35">
        <f>+F15+1</f>
        <v>4</v>
      </c>
      <c r="H15" s="35">
        <f t="shared" ref="H15:K15" si="1">+G15+1</f>
        <v>5</v>
      </c>
      <c r="I15" s="35">
        <f t="shared" si="1"/>
        <v>6</v>
      </c>
      <c r="J15" s="35">
        <f t="shared" si="1"/>
        <v>7</v>
      </c>
      <c r="K15" s="35">
        <f t="shared" si="1"/>
        <v>8</v>
      </c>
      <c r="L15" s="26"/>
      <c r="M15" s="26"/>
      <c r="N15" s="26"/>
      <c r="O15" s="26"/>
      <c r="P15" s="26"/>
      <c r="Q15" s="7"/>
    </row>
    <row r="16" spans="1:17" x14ac:dyDescent="0.25">
      <c r="A16" s="36" t="s">
        <v>3</v>
      </c>
      <c r="B16" s="14"/>
      <c r="C16" s="15">
        <f>+C6</f>
        <v>43954</v>
      </c>
      <c r="D16" s="15">
        <f>C16+7</f>
        <v>43961</v>
      </c>
      <c r="E16" s="5"/>
      <c r="F16" s="15">
        <f>D16+7</f>
        <v>43968</v>
      </c>
      <c r="G16" s="15">
        <f>F16+7</f>
        <v>43975</v>
      </c>
      <c r="H16" s="15">
        <f t="shared" ref="H16:J16" si="2">G16+7</f>
        <v>43982</v>
      </c>
      <c r="I16" s="15">
        <f t="shared" si="2"/>
        <v>43989</v>
      </c>
      <c r="J16" s="15">
        <f t="shared" si="2"/>
        <v>43996</v>
      </c>
      <c r="K16" s="15">
        <f>J16+7</f>
        <v>44003</v>
      </c>
      <c r="L16" s="15"/>
      <c r="M16" s="5" t="s">
        <v>12</v>
      </c>
      <c r="N16" s="37"/>
      <c r="O16" s="26"/>
      <c r="P16" s="26"/>
      <c r="Q16" s="7"/>
    </row>
    <row r="17" spans="1:17" x14ac:dyDescent="0.25">
      <c r="A17" s="25" t="s">
        <v>13</v>
      </c>
      <c r="B17" s="26"/>
      <c r="C17" s="31"/>
      <c r="D17" s="31"/>
      <c r="E17" s="31"/>
      <c r="F17" s="31"/>
      <c r="G17" s="31"/>
      <c r="H17" s="31"/>
      <c r="I17" s="31"/>
      <c r="J17" s="31">
        <f>5000*2</f>
        <v>10000</v>
      </c>
      <c r="K17" s="31"/>
      <c r="L17" s="31"/>
      <c r="M17" s="31">
        <f t="shared" ref="M17:M25" si="3">SUM(C17:K17)</f>
        <v>10000</v>
      </c>
      <c r="N17" s="58" t="s">
        <v>20</v>
      </c>
      <c r="O17" s="58"/>
      <c r="P17" s="58"/>
      <c r="Q17" s="59"/>
    </row>
    <row r="18" spans="1:17" x14ac:dyDescent="0.25">
      <c r="A18" s="25" t="s">
        <v>14</v>
      </c>
      <c r="B18" s="26"/>
      <c r="C18" s="31"/>
      <c r="D18" s="31"/>
      <c r="E18" s="31"/>
      <c r="F18" s="31"/>
      <c r="G18" s="31"/>
      <c r="H18" s="31"/>
      <c r="I18" s="31"/>
      <c r="J18" s="31">
        <f>20*40*8</f>
        <v>6400</v>
      </c>
      <c r="K18" s="31"/>
      <c r="L18" s="31"/>
      <c r="M18" s="31">
        <f t="shared" si="3"/>
        <v>6400</v>
      </c>
      <c r="N18" s="58" t="s">
        <v>21</v>
      </c>
      <c r="O18" s="58"/>
      <c r="P18" s="58"/>
      <c r="Q18" s="59"/>
    </row>
    <row r="19" spans="1:17" x14ac:dyDescent="0.25">
      <c r="A19" s="25" t="s">
        <v>17</v>
      </c>
      <c r="B19" s="26"/>
      <c r="C19" s="31"/>
      <c r="D19" s="31"/>
      <c r="E19" s="31"/>
      <c r="F19" s="31"/>
      <c r="G19" s="31"/>
      <c r="H19" s="31"/>
      <c r="I19" s="31"/>
      <c r="J19" s="31">
        <f>18*40*8</f>
        <v>5760</v>
      </c>
      <c r="K19" s="31"/>
      <c r="L19" s="31"/>
      <c r="M19" s="31">
        <f t="shared" si="3"/>
        <v>5760</v>
      </c>
      <c r="N19" s="58" t="s">
        <v>22</v>
      </c>
      <c r="O19" s="58"/>
      <c r="P19" s="58"/>
      <c r="Q19" s="59"/>
    </row>
    <row r="20" spans="1:17" x14ac:dyDescent="0.25">
      <c r="A20" s="25" t="s">
        <v>15</v>
      </c>
      <c r="B20" s="26"/>
      <c r="C20" s="31"/>
      <c r="D20" s="31"/>
      <c r="E20" s="31"/>
      <c r="F20" s="31"/>
      <c r="G20" s="31"/>
      <c r="H20" s="31"/>
      <c r="I20" s="31"/>
      <c r="J20" s="31">
        <f>18*40*8</f>
        <v>5760</v>
      </c>
      <c r="K20" s="31"/>
      <c r="L20" s="31"/>
      <c r="M20" s="31">
        <f t="shared" si="3"/>
        <v>5760</v>
      </c>
      <c r="N20" s="58" t="s">
        <v>23</v>
      </c>
      <c r="O20" s="58"/>
      <c r="P20" s="58"/>
      <c r="Q20" s="59"/>
    </row>
    <row r="21" spans="1:17" x14ac:dyDescent="0.25">
      <c r="A21" s="25" t="s">
        <v>18</v>
      </c>
      <c r="B21" s="26"/>
      <c r="C21" s="31"/>
      <c r="D21" s="31"/>
      <c r="E21" s="31"/>
      <c r="F21" s="31"/>
      <c r="G21" s="31"/>
      <c r="H21" s="31"/>
      <c r="I21" s="31"/>
      <c r="J21" s="31">
        <f>16*40*8</f>
        <v>5120</v>
      </c>
      <c r="K21" s="31"/>
      <c r="L21" s="31"/>
      <c r="M21" s="31">
        <f t="shared" si="3"/>
        <v>5120</v>
      </c>
      <c r="N21" s="58" t="s">
        <v>24</v>
      </c>
      <c r="O21" s="58"/>
      <c r="P21" s="58"/>
      <c r="Q21" s="59"/>
    </row>
    <row r="22" spans="1:17" x14ac:dyDescent="0.25">
      <c r="A22" s="25" t="s">
        <v>16</v>
      </c>
      <c r="B22" s="26"/>
      <c r="C22" s="31"/>
      <c r="D22" s="31"/>
      <c r="E22" s="31"/>
      <c r="F22" s="31"/>
      <c r="G22" s="31"/>
      <c r="H22" s="31"/>
      <c r="I22" s="31"/>
      <c r="J22" s="31">
        <f>45*40*8</f>
        <v>14400</v>
      </c>
      <c r="K22" s="31"/>
      <c r="L22" s="31"/>
      <c r="M22" s="31">
        <f t="shared" si="3"/>
        <v>14400</v>
      </c>
      <c r="N22" s="58" t="s">
        <v>25</v>
      </c>
      <c r="O22" s="58"/>
      <c r="P22" s="58"/>
      <c r="Q22" s="59"/>
    </row>
    <row r="23" spans="1:17" x14ac:dyDescent="0.25">
      <c r="A23" s="25" t="s">
        <v>19</v>
      </c>
      <c r="B23" s="26"/>
      <c r="C23" s="31"/>
      <c r="D23" s="31"/>
      <c r="E23" s="31"/>
      <c r="F23" s="31"/>
      <c r="G23" s="31"/>
      <c r="H23" s="31"/>
      <c r="I23" s="31"/>
      <c r="J23" s="31">
        <f>43.5*20*8</f>
        <v>6960</v>
      </c>
      <c r="K23" s="31"/>
      <c r="L23" s="31"/>
      <c r="M23" s="31">
        <f t="shared" si="3"/>
        <v>6960</v>
      </c>
      <c r="N23" s="58" t="s">
        <v>26</v>
      </c>
      <c r="O23" s="58"/>
      <c r="P23" s="58"/>
      <c r="Q23" s="59"/>
    </row>
    <row r="24" spans="1:17" x14ac:dyDescent="0.25">
      <c r="A24" s="38" t="s">
        <v>48</v>
      </c>
      <c r="B24" s="16"/>
      <c r="C24" s="17"/>
      <c r="D24" s="17"/>
      <c r="E24" s="17"/>
      <c r="F24" s="17"/>
      <c r="G24" s="17">
        <f>100000/52*4</f>
        <v>7692.3076923076924</v>
      </c>
      <c r="H24" s="17"/>
      <c r="I24" s="17"/>
      <c r="J24" s="17">
        <f>100000/52*4</f>
        <v>7692.3076923076924</v>
      </c>
      <c r="K24" s="17"/>
      <c r="L24" s="17"/>
      <c r="M24" s="17">
        <f t="shared" si="3"/>
        <v>15384.615384615385</v>
      </c>
      <c r="N24" s="58" t="s">
        <v>49</v>
      </c>
      <c r="O24" s="58"/>
      <c r="P24" s="58"/>
      <c r="Q24" s="59"/>
    </row>
    <row r="25" spans="1:17" x14ac:dyDescent="0.25">
      <c r="A25" s="25" t="s">
        <v>6</v>
      </c>
      <c r="B25" s="26"/>
      <c r="C25" s="31">
        <f>SUM(C17:C24)</f>
        <v>0</v>
      </c>
      <c r="D25" s="31">
        <f t="shared" ref="D25:K25" si="4">SUM(D17:D24)</f>
        <v>0</v>
      </c>
      <c r="E25" s="31"/>
      <c r="F25" s="31">
        <f t="shared" si="4"/>
        <v>0</v>
      </c>
      <c r="G25" s="31">
        <f t="shared" si="4"/>
        <v>7692.3076923076924</v>
      </c>
      <c r="H25" s="31">
        <f t="shared" si="4"/>
        <v>0</v>
      </c>
      <c r="I25" s="31">
        <f t="shared" si="4"/>
        <v>0</v>
      </c>
      <c r="J25" s="31">
        <f>SUM(J17:J24)</f>
        <v>62092.307692307695</v>
      </c>
      <c r="K25" s="31">
        <f t="shared" si="4"/>
        <v>0</v>
      </c>
      <c r="L25" s="31"/>
      <c r="M25" s="31">
        <f t="shared" si="3"/>
        <v>69784.61538461539</v>
      </c>
      <c r="N25" s="31"/>
      <c r="O25" s="26"/>
      <c r="P25" s="26"/>
      <c r="Q25" s="7"/>
    </row>
    <row r="26" spans="1:17" ht="14.45" customHeight="1" x14ac:dyDescent="0.25">
      <c r="A26" s="25"/>
      <c r="B26" s="26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26"/>
      <c r="P26" s="26"/>
      <c r="Q26" s="7"/>
    </row>
    <row r="27" spans="1:17" x14ac:dyDescent="0.25">
      <c r="A27" s="25" t="s">
        <v>39</v>
      </c>
      <c r="B27" s="26"/>
      <c r="C27" s="31">
        <f t="shared" ref="C27:F27" si="5">+C25*0.03</f>
        <v>0</v>
      </c>
      <c r="D27" s="31">
        <f t="shared" si="5"/>
        <v>0</v>
      </c>
      <c r="E27" s="31"/>
      <c r="F27" s="31">
        <f t="shared" si="5"/>
        <v>0</v>
      </c>
      <c r="G27" s="31">
        <f>+G25*0.03</f>
        <v>230.76923076923077</v>
      </c>
      <c r="H27" s="31">
        <f t="shared" ref="H27:I27" si="6">+H25*0.03</f>
        <v>0</v>
      </c>
      <c r="I27" s="31">
        <f t="shared" si="6"/>
        <v>0</v>
      </c>
      <c r="J27" s="31">
        <f>+J25*0.03</f>
        <v>1862.7692307692307</v>
      </c>
      <c r="K27" s="31">
        <f>+K25*0.03</f>
        <v>0</v>
      </c>
      <c r="L27" s="31"/>
      <c r="M27" s="31">
        <f>SUM(C27:K27)</f>
        <v>2093.5384615384614</v>
      </c>
      <c r="N27" s="58" t="s">
        <v>36</v>
      </c>
      <c r="O27" s="58"/>
      <c r="P27" s="58"/>
      <c r="Q27" s="59"/>
    </row>
    <row r="28" spans="1:17" x14ac:dyDescent="0.25">
      <c r="A28" s="25" t="s">
        <v>44</v>
      </c>
      <c r="B28" s="26"/>
      <c r="C28" s="31"/>
      <c r="D28" s="31"/>
      <c r="E28" s="31"/>
      <c r="F28" s="31"/>
      <c r="G28" s="31"/>
      <c r="H28" s="31">
        <v>0</v>
      </c>
      <c r="I28" s="31"/>
      <c r="J28" s="31">
        <v>0</v>
      </c>
      <c r="K28" s="31">
        <v>0</v>
      </c>
      <c r="L28" s="31"/>
      <c r="M28" s="31">
        <f>SUM(C28:K28)</f>
        <v>0</v>
      </c>
      <c r="N28" s="58" t="s">
        <v>45</v>
      </c>
      <c r="O28" s="58"/>
      <c r="P28" s="58"/>
      <c r="Q28" s="59"/>
    </row>
    <row r="29" spans="1:17" ht="16.5" thickBot="1" x14ac:dyDescent="0.3">
      <c r="A29" s="25" t="s">
        <v>50</v>
      </c>
      <c r="B29" s="26"/>
      <c r="C29" s="31"/>
      <c r="D29" s="31"/>
      <c r="E29" s="31"/>
      <c r="F29" s="31">
        <v>1561</v>
      </c>
      <c r="G29" s="31"/>
      <c r="H29" s="31"/>
      <c r="I29" s="31"/>
      <c r="J29" s="31">
        <v>1561</v>
      </c>
      <c r="K29" s="31"/>
      <c r="L29" s="31"/>
      <c r="M29" s="31">
        <f>SUM(C29:K29)</f>
        <v>3122</v>
      </c>
      <c r="N29" s="58" t="s">
        <v>46</v>
      </c>
      <c r="O29" s="58"/>
      <c r="P29" s="58"/>
      <c r="Q29" s="59"/>
    </row>
    <row r="30" spans="1:17" ht="16.5" thickBot="1" x14ac:dyDescent="0.3">
      <c r="A30" s="39" t="s">
        <v>7</v>
      </c>
      <c r="B30" s="18"/>
      <c r="C30" s="8">
        <f>C25+SUM(C27:C29)</f>
        <v>0</v>
      </c>
      <c r="D30" s="8">
        <f t="shared" ref="D30:K30" si="7">D25+SUM(D27:D29)</f>
        <v>0</v>
      </c>
      <c r="E30" s="8">
        <f t="shared" si="7"/>
        <v>0</v>
      </c>
      <c r="F30" s="8">
        <f t="shared" si="7"/>
        <v>1561</v>
      </c>
      <c r="G30" s="8">
        <f t="shared" si="7"/>
        <v>7923.0769230769229</v>
      </c>
      <c r="H30" s="8">
        <f t="shared" si="7"/>
        <v>0</v>
      </c>
      <c r="I30" s="8">
        <f t="shared" si="7"/>
        <v>0</v>
      </c>
      <c r="J30" s="8">
        <f>J25+SUM(J27:J29)</f>
        <v>65516.076923076922</v>
      </c>
      <c r="K30" s="8">
        <f t="shared" si="7"/>
        <v>0</v>
      </c>
      <c r="L30" s="8"/>
      <c r="M30" s="19">
        <f>M25+SUM(M27:M29)</f>
        <v>75000.153846153844</v>
      </c>
      <c r="N30" s="31">
        <f>SUM(C30:K30)</f>
        <v>75000.153846153844</v>
      </c>
      <c r="O30" s="21" t="b">
        <f>M30=N30</f>
        <v>1</v>
      </c>
      <c r="P30" s="26"/>
      <c r="Q30" s="7"/>
    </row>
    <row r="31" spans="1:17" ht="14.45" customHeight="1" thickTop="1" thickBot="1" x14ac:dyDescent="0.3">
      <c r="A31" s="25"/>
      <c r="B31" s="26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9">
        <f>+N30/$N$38</f>
        <v>0.75000153846153839</v>
      </c>
      <c r="O31" s="9">
        <v>0.75</v>
      </c>
      <c r="P31" s="18" t="s">
        <v>32</v>
      </c>
      <c r="Q31" s="7"/>
    </row>
    <row r="32" spans="1:17" ht="16.5" thickTop="1" x14ac:dyDescent="0.25">
      <c r="A32" s="38" t="s">
        <v>4</v>
      </c>
      <c r="B32" s="26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26"/>
      <c r="P32" s="26"/>
      <c r="Q32" s="7"/>
    </row>
    <row r="33" spans="1:17" x14ac:dyDescent="0.25">
      <c r="A33" s="40" t="s">
        <v>8</v>
      </c>
      <c r="B33" s="26"/>
      <c r="C33" s="31"/>
      <c r="D33" s="31"/>
      <c r="E33" s="31"/>
      <c r="F33" s="31"/>
      <c r="G33" s="31">
        <v>4000</v>
      </c>
      <c r="H33" s="31"/>
      <c r="I33" s="31"/>
      <c r="J33" s="31">
        <v>4000</v>
      </c>
      <c r="K33" s="31"/>
      <c r="L33" s="31"/>
      <c r="M33" s="31">
        <f t="shared" ref="M33:M35" si="8">SUM(C33:K33)</f>
        <v>8000</v>
      </c>
      <c r="N33" s="58" t="s">
        <v>33</v>
      </c>
      <c r="O33" s="58"/>
      <c r="P33" s="58"/>
      <c r="Q33" s="59"/>
    </row>
    <row r="34" spans="1:17" x14ac:dyDescent="0.25">
      <c r="A34" s="40" t="s">
        <v>51</v>
      </c>
      <c r="B34" s="26"/>
      <c r="C34" s="31"/>
      <c r="D34" s="31"/>
      <c r="E34" s="31"/>
      <c r="F34" s="31"/>
      <c r="G34" s="31">
        <v>6000</v>
      </c>
      <c r="H34" s="31"/>
      <c r="I34" s="31"/>
      <c r="J34" s="31">
        <v>6000</v>
      </c>
      <c r="K34" s="31"/>
      <c r="L34" s="31"/>
      <c r="M34" s="31">
        <f t="shared" si="8"/>
        <v>12000</v>
      </c>
      <c r="N34" s="58" t="s">
        <v>34</v>
      </c>
      <c r="O34" s="58"/>
      <c r="P34" s="58"/>
      <c r="Q34" s="59"/>
    </row>
    <row r="35" spans="1:17" ht="16.5" thickBot="1" x14ac:dyDescent="0.3">
      <c r="A35" s="40" t="s">
        <v>9</v>
      </c>
      <c r="B35" s="26"/>
      <c r="C35" s="31"/>
      <c r="D35" s="31"/>
      <c r="E35" s="31"/>
      <c r="F35" s="31"/>
      <c r="G35" s="31">
        <v>2500</v>
      </c>
      <c r="H35" s="31"/>
      <c r="I35" s="31"/>
      <c r="J35" s="31">
        <v>2500</v>
      </c>
      <c r="K35" s="31"/>
      <c r="L35" s="31"/>
      <c r="M35" s="31">
        <f t="shared" si="8"/>
        <v>5000</v>
      </c>
      <c r="N35" s="58" t="s">
        <v>35</v>
      </c>
      <c r="O35" s="58"/>
      <c r="P35" s="58"/>
      <c r="Q35" s="59"/>
    </row>
    <row r="36" spans="1:17" ht="16.5" thickBot="1" x14ac:dyDescent="0.3">
      <c r="A36" s="41" t="s">
        <v>10</v>
      </c>
      <c r="B36" s="18"/>
      <c r="C36" s="8">
        <f t="shared" ref="C36:J36" si="9">SUM(C33:C35)</f>
        <v>0</v>
      </c>
      <c r="D36" s="8">
        <f t="shared" si="9"/>
        <v>0</v>
      </c>
      <c r="E36" s="8">
        <f t="shared" si="9"/>
        <v>0</v>
      </c>
      <c r="F36" s="8">
        <f t="shared" si="9"/>
        <v>0</v>
      </c>
      <c r="G36" s="8">
        <f t="shared" si="9"/>
        <v>12500</v>
      </c>
      <c r="H36" s="8">
        <f t="shared" si="9"/>
        <v>0</v>
      </c>
      <c r="I36" s="8">
        <f t="shared" si="9"/>
        <v>0</v>
      </c>
      <c r="J36" s="8">
        <f t="shared" si="9"/>
        <v>12500</v>
      </c>
      <c r="K36" s="8">
        <f>SUM(K33:K35)</f>
        <v>0</v>
      </c>
      <c r="L36" s="8"/>
      <c r="M36" s="19">
        <f>SUM(M33:M35)</f>
        <v>25000</v>
      </c>
      <c r="N36" s="31">
        <f>SUM(C36:K36)</f>
        <v>25000</v>
      </c>
      <c r="O36" s="20" t="b">
        <f>M36=N36</f>
        <v>1</v>
      </c>
      <c r="P36" s="26"/>
      <c r="Q36" s="7"/>
    </row>
    <row r="37" spans="1:17" ht="17.25" thickTop="1" thickBot="1" x14ac:dyDescent="0.3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9">
        <f>+N36/$N$38</f>
        <v>0.25</v>
      </c>
      <c r="O37" s="9">
        <v>0.25</v>
      </c>
      <c r="P37" s="18" t="s">
        <v>32</v>
      </c>
      <c r="Q37" s="7"/>
    </row>
    <row r="38" spans="1:17" ht="16.5" thickTop="1" x14ac:dyDescent="0.2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42">
        <f>+C9</f>
        <v>100000</v>
      </c>
      <c r="O38" s="42">
        <f>+C9</f>
        <v>100000</v>
      </c>
      <c r="P38" s="26" t="s">
        <v>38</v>
      </c>
      <c r="Q38" s="7"/>
    </row>
    <row r="39" spans="1:17" ht="16.5" thickBot="1" x14ac:dyDescent="0.3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5">
        <f>+N38/$N$38</f>
        <v>1</v>
      </c>
      <c r="O39" s="44"/>
      <c r="P39" s="44"/>
      <c r="Q39" s="46"/>
    </row>
  </sheetData>
  <mergeCells count="17">
    <mergeCell ref="N35:Q35"/>
    <mergeCell ref="N27:Q27"/>
    <mergeCell ref="N28:Q28"/>
    <mergeCell ref="N29:Q29"/>
    <mergeCell ref="N33:Q33"/>
    <mergeCell ref="N34:Q34"/>
    <mergeCell ref="N20:Q20"/>
    <mergeCell ref="N21:Q21"/>
    <mergeCell ref="N22:Q22"/>
    <mergeCell ref="N23:Q23"/>
    <mergeCell ref="N24:Q24"/>
    <mergeCell ref="D1:G1"/>
    <mergeCell ref="D2:G2"/>
    <mergeCell ref="N17:Q17"/>
    <mergeCell ref="N18:Q18"/>
    <mergeCell ref="N19:Q19"/>
    <mergeCell ref="I9:J9"/>
  </mergeCells>
  <printOptions horizontalCentered="1" verticalCentered="1"/>
  <pageMargins left="0" right="0" top="0" bottom="0" header="0.3" footer="0.3"/>
  <pageSetup scale="7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3EFD99-404A-4C95-A557-CE06C3399BB0}">
  <sheetPr>
    <pageSetUpPr fitToPage="1"/>
  </sheetPr>
  <dimension ref="A1:Q39"/>
  <sheetViews>
    <sheetView workbookViewId="0">
      <selection activeCell="C7" sqref="C7"/>
    </sheetView>
  </sheetViews>
  <sheetFormatPr defaultRowHeight="15.75" x14ac:dyDescent="0.25"/>
  <cols>
    <col min="1" max="1" width="19" style="1" customWidth="1"/>
    <col min="2" max="2" width="1.85546875" style="2" customWidth="1"/>
    <col min="3" max="3" width="13" style="2" bestFit="1" customWidth="1"/>
    <col min="4" max="4" width="14.28515625" style="2" customWidth="1"/>
    <col min="5" max="5" width="4.85546875" style="2" customWidth="1"/>
    <col min="6" max="6" width="11" style="2" bestFit="1" customWidth="1"/>
    <col min="7" max="7" width="11.85546875" style="2" bestFit="1" customWidth="1"/>
    <col min="8" max="8" width="10.85546875" style="2" bestFit="1" customWidth="1"/>
    <col min="9" max="9" width="10.28515625" style="2" bestFit="1" customWidth="1"/>
    <col min="10" max="10" width="12.85546875" style="2" bestFit="1" customWidth="1"/>
    <col min="11" max="11" width="10.28515625" style="2" bestFit="1" customWidth="1"/>
    <col min="12" max="12" width="2" style="2" customWidth="1"/>
    <col min="13" max="14" width="12.85546875" style="2" bestFit="1" customWidth="1"/>
    <col min="15" max="15" width="11.28515625" style="2" customWidth="1"/>
    <col min="16" max="16" width="9.140625" style="2"/>
    <col min="17" max="17" width="11.28515625" style="2" customWidth="1"/>
    <col min="18" max="16384" width="9.140625" style="2"/>
  </cols>
  <sheetData>
    <row r="1" spans="1:17" x14ac:dyDescent="0.25">
      <c r="A1" s="22"/>
      <c r="B1" s="23"/>
      <c r="C1" s="23"/>
      <c r="D1" s="56" t="s">
        <v>0</v>
      </c>
      <c r="E1" s="56"/>
      <c r="F1" s="56"/>
      <c r="G1" s="56"/>
      <c r="H1" s="23"/>
      <c r="I1" s="23"/>
      <c r="J1" s="23"/>
      <c r="K1" s="23"/>
      <c r="L1" s="23"/>
      <c r="M1" s="23"/>
      <c r="N1" s="23"/>
      <c r="O1" s="23"/>
      <c r="P1" s="23"/>
      <c r="Q1" s="24"/>
    </row>
    <row r="2" spans="1:17" x14ac:dyDescent="0.25">
      <c r="A2" s="25"/>
      <c r="D2" s="62" t="s">
        <v>37</v>
      </c>
      <c r="E2" s="62"/>
      <c r="F2" s="62"/>
      <c r="G2" s="62"/>
      <c r="Q2" s="7"/>
    </row>
    <row r="3" spans="1:17" x14ac:dyDescent="0.25">
      <c r="A3" s="25"/>
      <c r="D3" s="48"/>
      <c r="E3" s="48"/>
      <c r="F3" s="48"/>
      <c r="G3" s="48"/>
      <c r="Q3" s="7"/>
    </row>
    <row r="4" spans="1:17" x14ac:dyDescent="0.25">
      <c r="A4" s="55"/>
      <c r="D4" s="54"/>
      <c r="E4" s="54"/>
      <c r="F4" s="54"/>
      <c r="G4" s="54"/>
      <c r="Q4" s="7"/>
    </row>
    <row r="5" spans="1:17" x14ac:dyDescent="0.25">
      <c r="A5" s="47" t="s">
        <v>47</v>
      </c>
      <c r="C5" s="49">
        <v>43934</v>
      </c>
      <c r="D5" s="2" t="s">
        <v>30</v>
      </c>
      <c r="Q5" s="7"/>
    </row>
    <row r="6" spans="1:17" x14ac:dyDescent="0.25">
      <c r="A6" s="25"/>
      <c r="C6" s="49">
        <f>+C5+10</f>
        <v>43944</v>
      </c>
      <c r="D6" s="2" t="s">
        <v>1</v>
      </c>
      <c r="Q6" s="7"/>
    </row>
    <row r="7" spans="1:17" x14ac:dyDescent="0.25">
      <c r="A7" s="29"/>
      <c r="C7" s="49">
        <f>+C6+55</f>
        <v>43999</v>
      </c>
      <c r="D7" s="2" t="s">
        <v>2</v>
      </c>
      <c r="Q7" s="7"/>
    </row>
    <row r="8" spans="1:17" ht="16.5" thickBot="1" x14ac:dyDescent="0.3">
      <c r="A8" s="25"/>
      <c r="C8" s="49"/>
      <c r="Q8" s="7"/>
    </row>
    <row r="9" spans="1:17" ht="16.5" thickBot="1" x14ac:dyDescent="0.3">
      <c r="A9" s="25" t="s">
        <v>41</v>
      </c>
      <c r="C9" s="3">
        <v>100000</v>
      </c>
      <c r="D9" s="4" t="s">
        <v>29</v>
      </c>
      <c r="F9" s="5" t="s">
        <v>5</v>
      </c>
      <c r="G9" s="5" t="s">
        <v>27</v>
      </c>
      <c r="I9" s="60" t="s">
        <v>31</v>
      </c>
      <c r="J9" s="61"/>
      <c r="Q9" s="7"/>
    </row>
    <row r="10" spans="1:17" x14ac:dyDescent="0.25">
      <c r="A10" s="30" t="s">
        <v>42</v>
      </c>
      <c r="C10" s="31">
        <f>+C9*0.75</f>
        <v>75000</v>
      </c>
      <c r="D10" s="2" t="s">
        <v>3</v>
      </c>
      <c r="F10" s="31">
        <f>M30</f>
        <v>75000.086538461546</v>
      </c>
      <c r="G10" s="32">
        <f>+F10/$F$12</f>
        <v>0.7500002163459667</v>
      </c>
      <c r="I10" s="6">
        <v>43876</v>
      </c>
      <c r="J10" s="7">
        <f>+C14</f>
        <v>8</v>
      </c>
      <c r="Q10" s="7"/>
    </row>
    <row r="11" spans="1:17" ht="16.5" thickBot="1" x14ac:dyDescent="0.3">
      <c r="A11" s="30" t="s">
        <v>43</v>
      </c>
      <c r="C11" s="31">
        <f>+C9*0.25</f>
        <v>25000</v>
      </c>
      <c r="D11" s="2" t="s">
        <v>4</v>
      </c>
      <c r="F11" s="31">
        <f>M36</f>
        <v>25000</v>
      </c>
      <c r="G11" s="32">
        <f t="shared" ref="G11:G12" si="0">+F11/$F$12</f>
        <v>0.24999978365403336</v>
      </c>
      <c r="I11" s="6">
        <v>44012</v>
      </c>
      <c r="J11" s="7">
        <f>+K14</f>
        <v>8</v>
      </c>
      <c r="Q11" s="7"/>
    </row>
    <row r="12" spans="1:17" ht="16.5" thickBot="1" x14ac:dyDescent="0.3">
      <c r="A12" s="25"/>
      <c r="C12" s="8">
        <f>SUM(C10:C11)</f>
        <v>100000</v>
      </c>
      <c r="F12" s="8">
        <f>SUM(F10:F11)</f>
        <v>100000.08653846155</v>
      </c>
      <c r="G12" s="9">
        <f t="shared" si="0"/>
        <v>1</v>
      </c>
      <c r="I12" s="10"/>
      <c r="J12" s="11">
        <f>+J10/J11</f>
        <v>1</v>
      </c>
      <c r="Q12" s="7"/>
    </row>
    <row r="13" spans="1:17" ht="17.25" thickTop="1" thickBot="1" x14ac:dyDescent="0.3">
      <c r="A13" s="25"/>
      <c r="C13" s="33"/>
      <c r="F13" s="31"/>
      <c r="Q13" s="7"/>
    </row>
    <row r="14" spans="1:17" ht="16.5" thickBot="1" x14ac:dyDescent="0.3">
      <c r="A14" s="12" t="s">
        <v>11</v>
      </c>
      <c r="C14" s="12">
        <f>1+1+1+1+1+1+1+1</f>
        <v>8</v>
      </c>
      <c r="J14" s="12" t="s">
        <v>28</v>
      </c>
      <c r="K14" s="13">
        <f>COUNT(J17:J24)</f>
        <v>8</v>
      </c>
      <c r="Q14" s="7"/>
    </row>
    <row r="15" spans="1:17" x14ac:dyDescent="0.25">
      <c r="A15" s="34" t="s">
        <v>40</v>
      </c>
      <c r="C15" s="50">
        <v>1</v>
      </c>
      <c r="D15" s="50">
        <f>+C15+1</f>
        <v>2</v>
      </c>
      <c r="E15" s="50"/>
      <c r="F15" s="50">
        <f>+D15+1</f>
        <v>3</v>
      </c>
      <c r="G15" s="50">
        <f>+F15+1</f>
        <v>4</v>
      </c>
      <c r="H15" s="50">
        <f t="shared" ref="H15:K15" si="1">+G15+1</f>
        <v>5</v>
      </c>
      <c r="I15" s="50">
        <f t="shared" si="1"/>
        <v>6</v>
      </c>
      <c r="J15" s="50">
        <f t="shared" si="1"/>
        <v>7</v>
      </c>
      <c r="K15" s="50">
        <f t="shared" si="1"/>
        <v>8</v>
      </c>
      <c r="Q15" s="7"/>
    </row>
    <row r="16" spans="1:17" x14ac:dyDescent="0.25">
      <c r="A16" s="36" t="s">
        <v>3</v>
      </c>
      <c r="B16" s="14"/>
      <c r="C16" s="15">
        <f>+C6</f>
        <v>43944</v>
      </c>
      <c r="D16" s="15">
        <f>C16+7</f>
        <v>43951</v>
      </c>
      <c r="E16" s="5"/>
      <c r="F16" s="15">
        <f>D16+7</f>
        <v>43958</v>
      </c>
      <c r="G16" s="15">
        <f>F16+7</f>
        <v>43965</v>
      </c>
      <c r="H16" s="15">
        <f t="shared" ref="H16:J16" si="2">G16+7</f>
        <v>43972</v>
      </c>
      <c r="I16" s="15">
        <f t="shared" si="2"/>
        <v>43979</v>
      </c>
      <c r="J16" s="15">
        <f t="shared" si="2"/>
        <v>43986</v>
      </c>
      <c r="K16" s="15">
        <f>J16+7</f>
        <v>43993</v>
      </c>
      <c r="L16" s="15"/>
      <c r="M16" s="5" t="s">
        <v>12</v>
      </c>
      <c r="N16" s="51"/>
      <c r="Q16" s="7"/>
    </row>
    <row r="17" spans="1:17" x14ac:dyDescent="0.25">
      <c r="A17" s="25" t="s">
        <v>13</v>
      </c>
      <c r="C17" s="31">
        <f>60000/52*1</f>
        <v>1153.8461538461538</v>
      </c>
      <c r="D17" s="31">
        <f>+C17</f>
        <v>1153.8461538461538</v>
      </c>
      <c r="E17" s="31"/>
      <c r="F17" s="31">
        <f>+C17</f>
        <v>1153.8461538461538</v>
      </c>
      <c r="G17" s="31">
        <f>+C17</f>
        <v>1153.8461538461538</v>
      </c>
      <c r="H17" s="31">
        <f>+C17</f>
        <v>1153.8461538461538</v>
      </c>
      <c r="I17" s="31">
        <f>+C17</f>
        <v>1153.8461538461538</v>
      </c>
      <c r="J17" s="31">
        <f>+C17</f>
        <v>1153.8461538461538</v>
      </c>
      <c r="K17" s="31">
        <f>+C17*1.25</f>
        <v>1442.3076923076924</v>
      </c>
      <c r="L17" s="31"/>
      <c r="M17" s="31">
        <f t="shared" ref="M17:M25" si="3">SUM(C17:K17)</f>
        <v>9519.2307692307695</v>
      </c>
      <c r="N17" s="58" t="s">
        <v>20</v>
      </c>
      <c r="O17" s="58"/>
      <c r="P17" s="58"/>
      <c r="Q17" s="59"/>
    </row>
    <row r="18" spans="1:17" x14ac:dyDescent="0.25">
      <c r="A18" s="25" t="s">
        <v>14</v>
      </c>
      <c r="C18" s="31">
        <f>20*40*1</f>
        <v>800</v>
      </c>
      <c r="D18" s="31">
        <f t="shared" ref="D18:D24" si="4">+C18</f>
        <v>800</v>
      </c>
      <c r="E18" s="31"/>
      <c r="F18" s="31">
        <f t="shared" ref="F18:F24" si="5">+C18</f>
        <v>800</v>
      </c>
      <c r="G18" s="31">
        <f t="shared" ref="G18:G24" si="6">+C18</f>
        <v>800</v>
      </c>
      <c r="H18" s="31">
        <f t="shared" ref="H18:H24" si="7">+C18</f>
        <v>800</v>
      </c>
      <c r="I18" s="31">
        <f t="shared" ref="I18:I24" si="8">+C18</f>
        <v>800</v>
      </c>
      <c r="J18" s="31">
        <f t="shared" ref="J18:J24" si="9">+C18</f>
        <v>800</v>
      </c>
      <c r="K18" s="31">
        <f t="shared" ref="K18:K23" si="10">+C18*1.25</f>
        <v>1000</v>
      </c>
      <c r="L18" s="31"/>
      <c r="M18" s="31">
        <f t="shared" si="3"/>
        <v>6600</v>
      </c>
      <c r="N18" s="58" t="s">
        <v>21</v>
      </c>
      <c r="O18" s="58"/>
      <c r="P18" s="58"/>
      <c r="Q18" s="59"/>
    </row>
    <row r="19" spans="1:17" x14ac:dyDescent="0.25">
      <c r="A19" s="25" t="s">
        <v>17</v>
      </c>
      <c r="C19" s="31">
        <f>18*40*1</f>
        <v>720</v>
      </c>
      <c r="D19" s="31">
        <f t="shared" si="4"/>
        <v>720</v>
      </c>
      <c r="E19" s="31"/>
      <c r="F19" s="31">
        <f t="shared" si="5"/>
        <v>720</v>
      </c>
      <c r="G19" s="31">
        <f t="shared" si="6"/>
        <v>720</v>
      </c>
      <c r="H19" s="31">
        <f t="shared" si="7"/>
        <v>720</v>
      </c>
      <c r="I19" s="31">
        <f t="shared" si="8"/>
        <v>720</v>
      </c>
      <c r="J19" s="31">
        <f t="shared" si="9"/>
        <v>720</v>
      </c>
      <c r="K19" s="31">
        <f t="shared" si="10"/>
        <v>900</v>
      </c>
      <c r="L19" s="31"/>
      <c r="M19" s="31">
        <f t="shared" si="3"/>
        <v>5940</v>
      </c>
      <c r="N19" s="58" t="s">
        <v>22</v>
      </c>
      <c r="O19" s="58"/>
      <c r="P19" s="58"/>
      <c r="Q19" s="59"/>
    </row>
    <row r="20" spans="1:17" x14ac:dyDescent="0.25">
      <c r="A20" s="25" t="s">
        <v>15</v>
      </c>
      <c r="C20" s="31">
        <f>18*40*1</f>
        <v>720</v>
      </c>
      <c r="D20" s="31">
        <f t="shared" si="4"/>
        <v>720</v>
      </c>
      <c r="E20" s="31"/>
      <c r="F20" s="31">
        <f t="shared" si="5"/>
        <v>720</v>
      </c>
      <c r="G20" s="31">
        <f t="shared" si="6"/>
        <v>720</v>
      </c>
      <c r="H20" s="31">
        <f t="shared" si="7"/>
        <v>720</v>
      </c>
      <c r="I20" s="31">
        <f t="shared" si="8"/>
        <v>720</v>
      </c>
      <c r="J20" s="31">
        <f t="shared" si="9"/>
        <v>720</v>
      </c>
      <c r="K20" s="31">
        <f t="shared" si="10"/>
        <v>900</v>
      </c>
      <c r="L20" s="31"/>
      <c r="M20" s="31">
        <f t="shared" si="3"/>
        <v>5940</v>
      </c>
      <c r="N20" s="58" t="s">
        <v>23</v>
      </c>
      <c r="O20" s="58"/>
      <c r="P20" s="58"/>
      <c r="Q20" s="59"/>
    </row>
    <row r="21" spans="1:17" x14ac:dyDescent="0.25">
      <c r="A21" s="25" t="s">
        <v>18</v>
      </c>
      <c r="C21" s="31">
        <f>16*40*1</f>
        <v>640</v>
      </c>
      <c r="D21" s="31">
        <f t="shared" si="4"/>
        <v>640</v>
      </c>
      <c r="E21" s="31"/>
      <c r="F21" s="31">
        <f t="shared" si="5"/>
        <v>640</v>
      </c>
      <c r="G21" s="31">
        <f t="shared" si="6"/>
        <v>640</v>
      </c>
      <c r="H21" s="31">
        <f t="shared" si="7"/>
        <v>640</v>
      </c>
      <c r="I21" s="31">
        <f t="shared" si="8"/>
        <v>640</v>
      </c>
      <c r="J21" s="31">
        <f t="shared" si="9"/>
        <v>640</v>
      </c>
      <c r="K21" s="31">
        <f t="shared" si="10"/>
        <v>800</v>
      </c>
      <c r="L21" s="31"/>
      <c r="M21" s="31">
        <f t="shared" si="3"/>
        <v>5280</v>
      </c>
      <c r="N21" s="58" t="s">
        <v>24</v>
      </c>
      <c r="O21" s="58"/>
      <c r="P21" s="58"/>
      <c r="Q21" s="59"/>
    </row>
    <row r="22" spans="1:17" x14ac:dyDescent="0.25">
      <c r="A22" s="25" t="s">
        <v>16</v>
      </c>
      <c r="C22" s="31">
        <f>45*40*1</f>
        <v>1800</v>
      </c>
      <c r="D22" s="31">
        <f t="shared" si="4"/>
        <v>1800</v>
      </c>
      <c r="E22" s="31"/>
      <c r="F22" s="31">
        <f t="shared" si="5"/>
        <v>1800</v>
      </c>
      <c r="G22" s="31">
        <f t="shared" si="6"/>
        <v>1800</v>
      </c>
      <c r="H22" s="31">
        <f t="shared" si="7"/>
        <v>1800</v>
      </c>
      <c r="I22" s="31">
        <f t="shared" si="8"/>
        <v>1800</v>
      </c>
      <c r="J22" s="31">
        <f t="shared" si="9"/>
        <v>1800</v>
      </c>
      <c r="K22" s="31">
        <f t="shared" si="10"/>
        <v>2250</v>
      </c>
      <c r="L22" s="31"/>
      <c r="M22" s="31">
        <f t="shared" si="3"/>
        <v>14850</v>
      </c>
      <c r="N22" s="58" t="s">
        <v>25</v>
      </c>
      <c r="O22" s="58"/>
      <c r="P22" s="58"/>
      <c r="Q22" s="59"/>
    </row>
    <row r="23" spans="1:17" x14ac:dyDescent="0.25">
      <c r="A23" s="25" t="s">
        <v>19</v>
      </c>
      <c r="C23" s="31">
        <f>43.5*20*1</f>
        <v>870</v>
      </c>
      <c r="D23" s="31">
        <f t="shared" si="4"/>
        <v>870</v>
      </c>
      <c r="E23" s="31"/>
      <c r="F23" s="31">
        <f t="shared" si="5"/>
        <v>870</v>
      </c>
      <c r="G23" s="31">
        <f t="shared" si="6"/>
        <v>870</v>
      </c>
      <c r="H23" s="31">
        <f t="shared" si="7"/>
        <v>870</v>
      </c>
      <c r="I23" s="31">
        <f t="shared" si="8"/>
        <v>870</v>
      </c>
      <c r="J23" s="31">
        <f t="shared" si="9"/>
        <v>870</v>
      </c>
      <c r="K23" s="31">
        <f t="shared" si="10"/>
        <v>1087.5</v>
      </c>
      <c r="L23" s="31"/>
      <c r="M23" s="31">
        <f t="shared" si="3"/>
        <v>7177.5</v>
      </c>
      <c r="N23" s="58" t="s">
        <v>26</v>
      </c>
      <c r="O23" s="58"/>
      <c r="P23" s="58"/>
      <c r="Q23" s="59"/>
    </row>
    <row r="24" spans="1:17" x14ac:dyDescent="0.25">
      <c r="A24" s="38" t="s">
        <v>48</v>
      </c>
      <c r="B24" s="16"/>
      <c r="C24" s="17">
        <f>100000/52</f>
        <v>1923.0769230769231</v>
      </c>
      <c r="D24" s="17">
        <f t="shared" si="4"/>
        <v>1923.0769230769231</v>
      </c>
      <c r="E24" s="17"/>
      <c r="F24" s="17">
        <f t="shared" si="5"/>
        <v>1923.0769230769231</v>
      </c>
      <c r="G24" s="17">
        <f t="shared" si="6"/>
        <v>1923.0769230769231</v>
      </c>
      <c r="H24" s="17">
        <f t="shared" si="7"/>
        <v>1923.0769230769231</v>
      </c>
      <c r="I24" s="17">
        <f t="shared" si="8"/>
        <v>1923.0769230769231</v>
      </c>
      <c r="J24" s="17">
        <f t="shared" si="9"/>
        <v>1923.0769230769231</v>
      </c>
      <c r="K24" s="17">
        <f>+J24</f>
        <v>1923.0769230769231</v>
      </c>
      <c r="L24" s="17"/>
      <c r="M24" s="17">
        <f t="shared" si="3"/>
        <v>15384.615384615387</v>
      </c>
      <c r="N24" s="58" t="s">
        <v>49</v>
      </c>
      <c r="O24" s="58"/>
      <c r="P24" s="58"/>
      <c r="Q24" s="59"/>
    </row>
    <row r="25" spans="1:17" x14ac:dyDescent="0.25">
      <c r="A25" s="25" t="s">
        <v>6</v>
      </c>
      <c r="C25" s="31">
        <f>SUM(C17:C24)</f>
        <v>8626.923076923078</v>
      </c>
      <c r="D25" s="31">
        <f t="shared" ref="D25:K25" si="11">SUM(D17:D24)</f>
        <v>8626.923076923078</v>
      </c>
      <c r="E25" s="31"/>
      <c r="F25" s="31">
        <f t="shared" si="11"/>
        <v>8626.923076923078</v>
      </c>
      <c r="G25" s="31">
        <f t="shared" si="11"/>
        <v>8626.923076923078</v>
      </c>
      <c r="H25" s="31">
        <f t="shared" si="11"/>
        <v>8626.923076923078</v>
      </c>
      <c r="I25" s="31">
        <f t="shared" si="11"/>
        <v>8626.923076923078</v>
      </c>
      <c r="J25" s="31">
        <f>SUM(J17:J24)</f>
        <v>8626.923076923078</v>
      </c>
      <c r="K25" s="31">
        <f t="shared" si="11"/>
        <v>10302.884615384615</v>
      </c>
      <c r="L25" s="31"/>
      <c r="M25" s="31">
        <f t="shared" si="3"/>
        <v>70691.346153846156</v>
      </c>
      <c r="N25" s="31"/>
      <c r="Q25" s="7"/>
    </row>
    <row r="26" spans="1:17" ht="14.45" customHeight="1" x14ac:dyDescent="0.25">
      <c r="A26" s="25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Q26" s="7"/>
    </row>
    <row r="27" spans="1:17" x14ac:dyDescent="0.25">
      <c r="A27" s="25" t="s">
        <v>39</v>
      </c>
      <c r="C27" s="31">
        <f t="shared" ref="C27:F27" si="12">+C25*0.03</f>
        <v>258.80769230769232</v>
      </c>
      <c r="D27" s="31">
        <f t="shared" si="12"/>
        <v>258.80769230769232</v>
      </c>
      <c r="E27" s="31"/>
      <c r="F27" s="31">
        <f t="shared" si="12"/>
        <v>258.80769230769232</v>
      </c>
      <c r="G27" s="31">
        <f>+G25*0.03</f>
        <v>258.80769230769232</v>
      </c>
      <c r="H27" s="31">
        <f t="shared" ref="H27:I27" si="13">+H25*0.03</f>
        <v>258.80769230769232</v>
      </c>
      <c r="I27" s="31">
        <f t="shared" si="13"/>
        <v>258.80769230769232</v>
      </c>
      <c r="J27" s="31">
        <f>+J25*0.03</f>
        <v>258.80769230769232</v>
      </c>
      <c r="K27" s="31">
        <f>+K25*0.03</f>
        <v>309.08653846153845</v>
      </c>
      <c r="L27" s="31"/>
      <c r="M27" s="31">
        <f>SUM(C27:K27)</f>
        <v>2120.7403846153848</v>
      </c>
      <c r="N27" s="58" t="s">
        <v>36</v>
      </c>
      <c r="O27" s="58"/>
      <c r="P27" s="58"/>
      <c r="Q27" s="59"/>
    </row>
    <row r="28" spans="1:17" x14ac:dyDescent="0.25">
      <c r="A28" s="25" t="s">
        <v>44</v>
      </c>
      <c r="C28" s="31"/>
      <c r="D28" s="31"/>
      <c r="E28" s="31"/>
      <c r="F28" s="31"/>
      <c r="G28" s="31"/>
      <c r="H28" s="31">
        <v>0</v>
      </c>
      <c r="I28" s="31"/>
      <c r="J28" s="31">
        <v>0</v>
      </c>
      <c r="K28" s="31">
        <v>0</v>
      </c>
      <c r="L28" s="31"/>
      <c r="M28" s="31">
        <f>SUM(C28:K28)</f>
        <v>0</v>
      </c>
      <c r="N28" s="58" t="s">
        <v>52</v>
      </c>
      <c r="O28" s="58"/>
      <c r="P28" s="58"/>
      <c r="Q28" s="59"/>
    </row>
    <row r="29" spans="1:17" ht="16.5" thickBot="1" x14ac:dyDescent="0.3">
      <c r="A29" s="25" t="s">
        <v>50</v>
      </c>
      <c r="C29" s="31"/>
      <c r="D29" s="31"/>
      <c r="E29" s="31"/>
      <c r="F29" s="31">
        <v>1094</v>
      </c>
      <c r="G29" s="31"/>
      <c r="H29" s="31"/>
      <c r="I29" s="31"/>
      <c r="J29" s="31">
        <v>1094</v>
      </c>
      <c r="K29" s="31"/>
      <c r="L29" s="31"/>
      <c r="M29" s="31">
        <f>SUM(C29:K29)</f>
        <v>2188</v>
      </c>
      <c r="N29" s="58" t="s">
        <v>46</v>
      </c>
      <c r="O29" s="58"/>
      <c r="P29" s="58"/>
      <c r="Q29" s="59"/>
    </row>
    <row r="30" spans="1:17" ht="16.5" thickBot="1" x14ac:dyDescent="0.3">
      <c r="A30" s="39" t="s">
        <v>7</v>
      </c>
      <c r="B30" s="18"/>
      <c r="C30" s="8">
        <f>C25+SUM(C27:C29)</f>
        <v>8885.7307692307695</v>
      </c>
      <c r="D30" s="8">
        <f t="shared" ref="D30:K30" si="14">D25+SUM(D27:D29)</f>
        <v>8885.7307692307695</v>
      </c>
      <c r="E30" s="8">
        <f t="shared" si="14"/>
        <v>0</v>
      </c>
      <c r="F30" s="8">
        <f t="shared" si="14"/>
        <v>9979.7307692307695</v>
      </c>
      <c r="G30" s="8">
        <f t="shared" si="14"/>
        <v>8885.7307692307695</v>
      </c>
      <c r="H30" s="8">
        <f t="shared" si="14"/>
        <v>8885.7307692307695</v>
      </c>
      <c r="I30" s="8">
        <f t="shared" si="14"/>
        <v>8885.7307692307695</v>
      </c>
      <c r="J30" s="8">
        <f>J25+SUM(J27:J29)</f>
        <v>9979.7307692307695</v>
      </c>
      <c r="K30" s="8">
        <f t="shared" si="14"/>
        <v>10611.971153846154</v>
      </c>
      <c r="L30" s="8"/>
      <c r="M30" s="19">
        <f>M25+SUM(M27:M29)</f>
        <v>75000.086538461546</v>
      </c>
      <c r="N30" s="31">
        <f>SUM(C30:K30)</f>
        <v>75000.086538461532</v>
      </c>
      <c r="O30" s="21" t="b">
        <f>M30=N30</f>
        <v>1</v>
      </c>
      <c r="Q30" s="7"/>
    </row>
    <row r="31" spans="1:17" ht="14.45" customHeight="1" thickTop="1" thickBot="1" x14ac:dyDescent="0.3">
      <c r="A31" s="25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9">
        <f>+N30/$N$38</f>
        <v>0.7500008653846153</v>
      </c>
      <c r="O31" s="9">
        <v>0.75</v>
      </c>
      <c r="P31" s="18" t="s">
        <v>32</v>
      </c>
      <c r="Q31" s="7"/>
    </row>
    <row r="32" spans="1:17" ht="16.5" thickTop="1" x14ac:dyDescent="0.25">
      <c r="A32" s="38" t="s">
        <v>4</v>
      </c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Q32" s="7"/>
    </row>
    <row r="33" spans="1:17" x14ac:dyDescent="0.25">
      <c r="A33" s="25" t="s">
        <v>8</v>
      </c>
      <c r="C33" s="31"/>
      <c r="D33" s="31"/>
      <c r="E33" s="31"/>
      <c r="F33" s="31"/>
      <c r="G33" s="31">
        <v>4000</v>
      </c>
      <c r="H33" s="31"/>
      <c r="I33" s="31"/>
      <c r="J33" s="31">
        <v>4000</v>
      </c>
      <c r="K33" s="31"/>
      <c r="L33" s="31"/>
      <c r="M33" s="31">
        <f t="shared" ref="M33:M35" si="15">SUM(C33:K33)</f>
        <v>8000</v>
      </c>
      <c r="N33" s="58" t="s">
        <v>33</v>
      </c>
      <c r="O33" s="58"/>
      <c r="P33" s="58"/>
      <c r="Q33" s="59"/>
    </row>
    <row r="34" spans="1:17" x14ac:dyDescent="0.25">
      <c r="A34" s="25" t="s">
        <v>51</v>
      </c>
      <c r="C34" s="31"/>
      <c r="D34" s="31"/>
      <c r="E34" s="31"/>
      <c r="F34" s="31"/>
      <c r="G34" s="31">
        <v>6000</v>
      </c>
      <c r="H34" s="31"/>
      <c r="I34" s="31"/>
      <c r="J34" s="31">
        <v>6000</v>
      </c>
      <c r="K34" s="31"/>
      <c r="L34" s="31"/>
      <c r="M34" s="31">
        <f t="shared" si="15"/>
        <v>12000</v>
      </c>
      <c r="N34" s="58" t="s">
        <v>34</v>
      </c>
      <c r="O34" s="58"/>
      <c r="P34" s="58"/>
      <c r="Q34" s="59"/>
    </row>
    <row r="35" spans="1:17" ht="16.5" thickBot="1" x14ac:dyDescent="0.3">
      <c r="A35" s="25" t="s">
        <v>9</v>
      </c>
      <c r="C35" s="31"/>
      <c r="D35" s="31"/>
      <c r="E35" s="31"/>
      <c r="F35" s="31"/>
      <c r="G35" s="31">
        <v>2500</v>
      </c>
      <c r="H35" s="31"/>
      <c r="I35" s="31"/>
      <c r="J35" s="31">
        <v>2500</v>
      </c>
      <c r="K35" s="31"/>
      <c r="L35" s="31"/>
      <c r="M35" s="31">
        <f t="shared" si="15"/>
        <v>5000</v>
      </c>
      <c r="N35" s="58" t="s">
        <v>35</v>
      </c>
      <c r="O35" s="58"/>
      <c r="P35" s="58"/>
      <c r="Q35" s="59"/>
    </row>
    <row r="36" spans="1:17" ht="16.5" thickBot="1" x14ac:dyDescent="0.3">
      <c r="A36" s="39" t="s">
        <v>10</v>
      </c>
      <c r="B36" s="18"/>
      <c r="C36" s="8">
        <f t="shared" ref="C36:J36" si="16">SUM(C33:C35)</f>
        <v>0</v>
      </c>
      <c r="D36" s="8">
        <f t="shared" si="16"/>
        <v>0</v>
      </c>
      <c r="E36" s="8">
        <f t="shared" si="16"/>
        <v>0</v>
      </c>
      <c r="F36" s="8">
        <f t="shared" si="16"/>
        <v>0</v>
      </c>
      <c r="G36" s="8">
        <f t="shared" si="16"/>
        <v>12500</v>
      </c>
      <c r="H36" s="8">
        <f t="shared" si="16"/>
        <v>0</v>
      </c>
      <c r="I36" s="8">
        <f t="shared" si="16"/>
        <v>0</v>
      </c>
      <c r="J36" s="8">
        <f t="shared" si="16"/>
        <v>12500</v>
      </c>
      <c r="K36" s="8">
        <f>SUM(K33:K35)</f>
        <v>0</v>
      </c>
      <c r="L36" s="8"/>
      <c r="M36" s="19">
        <f>SUM(M33:M35)</f>
        <v>25000</v>
      </c>
      <c r="N36" s="31">
        <f>SUM(C36:K36)</f>
        <v>25000</v>
      </c>
      <c r="O36" s="20" t="b">
        <f>M36=N36</f>
        <v>1</v>
      </c>
      <c r="Q36" s="7"/>
    </row>
    <row r="37" spans="1:17" ht="17.25" thickTop="1" thickBot="1" x14ac:dyDescent="0.3">
      <c r="A37" s="25"/>
      <c r="N37" s="9">
        <f>+N36/$N$38</f>
        <v>0.25</v>
      </c>
      <c r="O37" s="9">
        <v>0.25</v>
      </c>
      <c r="P37" s="18" t="s">
        <v>32</v>
      </c>
      <c r="Q37" s="7"/>
    </row>
    <row r="38" spans="1:17" ht="16.5" thickTop="1" x14ac:dyDescent="0.25">
      <c r="A38" s="25"/>
      <c r="N38" s="52">
        <f>+C9</f>
        <v>100000</v>
      </c>
      <c r="O38" s="52">
        <f>+C9</f>
        <v>100000</v>
      </c>
      <c r="P38" s="2" t="s">
        <v>38</v>
      </c>
      <c r="Q38" s="7"/>
    </row>
    <row r="39" spans="1:17" ht="16.5" thickBot="1" x14ac:dyDescent="0.3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5">
        <f>+N38/$N$38</f>
        <v>1</v>
      </c>
      <c r="O39" s="44"/>
      <c r="P39" s="44"/>
      <c r="Q39" s="46"/>
    </row>
  </sheetData>
  <mergeCells count="17">
    <mergeCell ref="N28:Q28"/>
    <mergeCell ref="N29:Q29"/>
    <mergeCell ref="N33:Q33"/>
    <mergeCell ref="N34:Q34"/>
    <mergeCell ref="N35:Q35"/>
    <mergeCell ref="N27:Q27"/>
    <mergeCell ref="D1:G1"/>
    <mergeCell ref="D2:G2"/>
    <mergeCell ref="I9:J9"/>
    <mergeCell ref="N17:Q17"/>
    <mergeCell ref="N18:Q18"/>
    <mergeCell ref="N19:Q19"/>
    <mergeCell ref="N20:Q20"/>
    <mergeCell ref="N21:Q21"/>
    <mergeCell ref="N22:Q22"/>
    <mergeCell ref="N23:Q23"/>
    <mergeCell ref="N24:Q24"/>
  </mergeCells>
  <printOptions horizontalCentered="1" verticalCentered="1"/>
  <pageMargins left="0" right="0" top="0" bottom="0" header="0.3" footer="0.3"/>
  <pageSetup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Pay all in week #7</vt:lpstr>
      <vt:lpstr>Spread Pay over 8 weeks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Jordan Schiff</dc:creator>
  <cp:lastModifiedBy>Allen Schiff</cp:lastModifiedBy>
  <cp:lastPrinted>2020-04-18T19:20:46Z</cp:lastPrinted>
  <dcterms:created xsi:type="dcterms:W3CDTF">2020-04-13T11:58:22Z</dcterms:created>
  <dcterms:modified xsi:type="dcterms:W3CDTF">2020-05-07T01:55:27Z</dcterms:modified>
</cp:coreProperties>
</file>